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oretonbaysteiner.sharepoint.com/Staff Documents/Finance Documents/Receivables/"/>
    </mc:Choice>
  </mc:AlternateContent>
  <xr:revisionPtr revIDLastSave="32" documentId="8_{6C72108E-9875-4E73-AFF3-0B0A4B367321}" xr6:coauthVersionLast="47" xr6:coauthVersionMax="47" xr10:uidLastSave="{61E65BD5-2F1B-4FB0-884B-B0654D0146C3}"/>
  <bookViews>
    <workbookView xWindow="-110" yWindow="-110" windowWidth="19420" windowHeight="10420" xr2:uid="{4969AB16-077E-457D-8DE7-75B55EE01405}"/>
  </bookViews>
  <sheets>
    <sheet name="School fees calculator" sheetId="1" r:id="rId1"/>
    <sheet name="2023 formulas" sheetId="2" state="hidden" r:id="rId2"/>
  </sheets>
  <definedNames>
    <definedName name="_xlnm.Print_Area" localSheetId="0">'School fees calculator'!$B$1:$J$51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J23" i="1"/>
  <c r="F14" i="1" l="1"/>
  <c r="H14" i="1" s="1"/>
  <c r="F13" i="1"/>
  <c r="H13" i="1" s="1"/>
  <c r="F12" i="1"/>
  <c r="H12" i="1" s="1"/>
  <c r="F11" i="1"/>
  <c r="H11" i="1" s="1"/>
  <c r="E13" i="1"/>
  <c r="E12" i="1"/>
  <c r="G12" i="1" s="1"/>
  <c r="G18" i="1" s="1"/>
  <c r="E11" i="1"/>
  <c r="G11" i="1" s="1"/>
  <c r="I11" i="1"/>
  <c r="I12" i="1"/>
  <c r="I13" i="1"/>
  <c r="I14" i="1"/>
  <c r="E14" i="1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20" i="2"/>
  <c r="I20" i="2"/>
  <c r="G21" i="2"/>
  <c r="G22" i="2"/>
  <c r="G24" i="2"/>
  <c r="G25" i="2"/>
  <c r="G26" i="2"/>
  <c r="G27" i="2"/>
  <c r="G28" i="2"/>
  <c r="G29" i="2"/>
  <c r="G30" i="2"/>
  <c r="G20" i="2"/>
  <c r="B36" i="2"/>
  <c r="D39" i="2" s="1"/>
  <c r="B46" i="2"/>
  <c r="D49" i="2" s="1"/>
  <c r="E49" i="2" s="1"/>
  <c r="H37" i="1" s="1"/>
  <c r="F21" i="2"/>
  <c r="F22" i="2"/>
  <c r="F23" i="2"/>
  <c r="F24" i="2"/>
  <c r="F25" i="2"/>
  <c r="F26" i="2"/>
  <c r="F27" i="2"/>
  <c r="F28" i="2"/>
  <c r="F29" i="2"/>
  <c r="F30" i="2"/>
  <c r="F20" i="2"/>
  <c r="G13" i="1" l="1"/>
  <c r="J12" i="1"/>
  <c r="H15" i="1"/>
  <c r="J11" i="1"/>
  <c r="G14" i="1"/>
  <c r="E39" i="2"/>
  <c r="H28" i="1" s="1"/>
  <c r="H39" i="2"/>
  <c r="H31" i="1" s="1"/>
  <c r="G39" i="2"/>
  <c r="H30" i="1" s="1"/>
  <c r="G49" i="2"/>
  <c r="H39" i="1" s="1"/>
  <c r="H49" i="2"/>
  <c r="F49" i="2"/>
  <c r="H38" i="1" s="1"/>
  <c r="F39" i="2"/>
  <c r="H29" i="1" s="1"/>
  <c r="E15" i="1"/>
  <c r="F15" i="1"/>
  <c r="F25" i="1" s="1"/>
  <c r="I15" i="1"/>
  <c r="J14" i="1" l="1"/>
  <c r="G20" i="1"/>
  <c r="J13" i="1"/>
  <c r="G19" i="1"/>
  <c r="G15" i="1"/>
  <c r="H40" i="1"/>
  <c r="G21" i="1" l="1"/>
  <c r="J21" i="1" s="1"/>
  <c r="J15" i="1"/>
  <c r="E25" i="1" l="1"/>
  <c r="J25" i="1"/>
  <c r="I32" i="1" l="1"/>
  <c r="I29" i="1"/>
  <c r="J36" i="1"/>
  <c r="J39" i="1" s="1"/>
  <c r="I31" i="1"/>
  <c r="I28" i="1"/>
  <c r="I30" i="1"/>
  <c r="J41" i="1" l="1"/>
  <c r="J37" i="1"/>
  <c r="J40" i="1"/>
  <c r="J38" i="1"/>
</calcChain>
</file>

<file path=xl/sharedStrings.xml><?xml version="1.0" encoding="utf-8"?>
<sst xmlns="http://schemas.openxmlformats.org/spreadsheetml/2006/main" count="95" uniqueCount="78">
  <si>
    <t>Click here to view</t>
  </si>
  <si>
    <t>2023 FEE SCHEDULE</t>
  </si>
  <si>
    <t>Please complete orange areas only</t>
  </si>
  <si>
    <t>Student</t>
  </si>
  <si>
    <r>
      <t xml:space="preserve">Year Level
</t>
    </r>
    <r>
      <rPr>
        <i/>
        <sz val="9"/>
        <rFont val="Calibri"/>
        <family val="2"/>
        <scheme val="minor"/>
      </rPr>
      <t>(Select from 
drop-down)</t>
    </r>
  </si>
  <si>
    <r>
      <t xml:space="preserve">Terms Applicable
</t>
    </r>
    <r>
      <rPr>
        <i/>
        <sz val="9"/>
        <rFont val="Calibri"/>
        <family val="2"/>
        <scheme val="minor"/>
      </rPr>
      <t>(Select from 
drop-down)</t>
    </r>
  </si>
  <si>
    <t>Tuition Fees
Full Yr</t>
  </si>
  <si>
    <t>Capital Levy
Full Yr</t>
  </si>
  <si>
    <t xml:space="preserve">Tuition Fees
2023 </t>
  </si>
  <si>
    <t>Capital Levy
2023</t>
  </si>
  <si>
    <t>Activities Levy
2023</t>
  </si>
  <si>
    <t>Sub-totals</t>
  </si>
  <si>
    <t>Eldest Child</t>
  </si>
  <si>
    <t>2,3,4</t>
  </si>
  <si>
    <t>2nd Child</t>
  </si>
  <si>
    <t>3rd Child</t>
  </si>
  <si>
    <t>4th Child</t>
  </si>
  <si>
    <t>Total Tuition Fees &amp; Levies</t>
  </si>
  <si>
    <t>Less : Sibling Discount on Tuition fees only</t>
  </si>
  <si>
    <t>Total Sibling Discounts</t>
  </si>
  <si>
    <t>School Building Fund Donation</t>
  </si>
  <si>
    <t>Total Fees &amp; Charges Net of Discounts</t>
  </si>
  <si>
    <r>
      <t xml:space="preserve">Payment Start Date </t>
    </r>
    <r>
      <rPr>
        <i/>
        <sz val="10"/>
        <rFont val="Calibri"/>
        <family val="2"/>
        <scheme val="minor"/>
      </rPr>
      <t>(DD/MM/YYY)</t>
    </r>
  </si>
  <si>
    <t>Number of 
Payments</t>
  </si>
  <si>
    <t>Payment Amount</t>
  </si>
  <si>
    <t>Please select your preferred option below</t>
  </si>
  <si>
    <t xml:space="preserve">Weekly Instalments </t>
  </si>
  <si>
    <t xml:space="preserve">Fortnightly Instalments </t>
  </si>
  <si>
    <t>Monthly Instalments</t>
  </si>
  <si>
    <t>Per Term Instalments due start of each Term</t>
  </si>
  <si>
    <t>ANNUAL with discount - only applicable if paid by 28/02/23</t>
  </si>
  <si>
    <t xml:space="preserve">Below is for adjusted charges - please contact our Finance Officer to confirm the below. </t>
  </si>
  <si>
    <t>Other discount or pro-ration</t>
  </si>
  <si>
    <t>Adjusted Total</t>
  </si>
  <si>
    <t>Payment Start Date</t>
  </si>
  <si>
    <t>Number of payments</t>
  </si>
  <si>
    <t>Per Term instalments due</t>
  </si>
  <si>
    <t>ANNUAL with discount - only applicable if paid by 28th February</t>
  </si>
  <si>
    <t>Year Level</t>
  </si>
  <si>
    <t>1,2,3,4</t>
  </si>
  <si>
    <t>YES</t>
  </si>
  <si>
    <t>NO</t>
  </si>
  <si>
    <t>3,4</t>
  </si>
  <si>
    <t>4 only</t>
  </si>
  <si>
    <t>Prep</t>
  </si>
  <si>
    <t>Capital Levy per year</t>
  </si>
  <si>
    <t>Tuition fees</t>
  </si>
  <si>
    <t xml:space="preserve">tuition fee </t>
  </si>
  <si>
    <t>capital levy</t>
  </si>
  <si>
    <t>activities levy</t>
  </si>
  <si>
    <t>Total ful yr</t>
  </si>
  <si>
    <t>Total 2, 3 &amp; 4</t>
  </si>
  <si>
    <t>3&amp;4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</si>
  <si>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</si>
  <si>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</si>
  <si>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</si>
  <si>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</si>
  <si>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</si>
  <si>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</si>
  <si>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</si>
  <si>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</si>
  <si>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</si>
  <si>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</si>
  <si>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days between dates</t>
  </si>
  <si>
    <t>start date</t>
  </si>
  <si>
    <t>end date</t>
  </si>
  <si>
    <t xml:space="preserve">no. of days </t>
  </si>
  <si>
    <t xml:space="preserve">no.of weeks </t>
  </si>
  <si>
    <t>no.of fortnights</t>
  </si>
  <si>
    <t>no of months</t>
  </si>
  <si>
    <t xml:space="preserve">no. of terms. </t>
  </si>
  <si>
    <t xml:space="preserve">term1 </t>
  </si>
  <si>
    <t>Term2</t>
  </si>
  <si>
    <t>Term3</t>
  </si>
  <si>
    <t>Term4</t>
  </si>
  <si>
    <t>Annual Discount</t>
  </si>
  <si>
    <t>ALTERNATIVE STARTING DATES</t>
  </si>
  <si>
    <t>Term1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</si>
</sst>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(#,##0\);_-* &quot;-&quot;?_-;_-@_-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fgColor theme="6"/>
      </patternFill>
    </fill>
    <fill>
      <patternFill patternType="gray0625">
        <fgColor theme="6"/>
        <bgColor theme="5" tint="0.59999389629810485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9" fontId="0" fillId="0" borderId="0" xfId="0" applyNumberFormat="1"/>
    <xf numFmtId="14" fontId="0" fillId="5" borderId="0" xfId="0" applyNumberFormat="1" applyFill="1"/>
    <xf numFmtId="0" fontId="0" fillId="0" borderId="0" xfId="0" applyAlignment="1">
      <alignment horizontal="right"/>
    </xf>
    <xf numFmtId="14" fontId="0" fillId="4" borderId="0" xfId="0" applyNumberFormat="1" applyFill="1"/>
    <xf numFmtId="14" fontId="0" fillId="3" borderId="0" xfId="0" applyNumberFormat="1" applyFill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5" xfId="0" applyFill="1" applyBorder="1"/>
    <xf numFmtId="0" fontId="4" fillId="0" borderId="1" xfId="0" applyFont="1" applyBorder="1" applyAlignment="1">
      <alignment wrapText="1"/>
    </xf>
    <xf numFmtId="0" fontId="4" fillId="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2" borderId="0" xfId="0" applyFont="1" applyFill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2" borderId="0" xfId="0" applyFont="1" applyFill="1" applyAlignment="1">
      <alignment wrapText="1"/>
    </xf>
    <xf numFmtId="0" fontId="1" fillId="0" borderId="4" xfId="0" applyFont="1" applyBorder="1"/>
    <xf numFmtId="0" fontId="1" fillId="0" borderId="6" xfId="0" applyFont="1" applyBorder="1"/>
    <xf numFmtId="164" fontId="1" fillId="0" borderId="8" xfId="0" applyNumberFormat="1" applyFont="1" applyBorder="1" applyAlignment="1">
      <alignment horizontal="right"/>
    </xf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2" borderId="0" xfId="0" applyFont="1" applyFill="1"/>
    <xf numFmtId="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164" fontId="1" fillId="10" borderId="0" xfId="0" applyNumberFormat="1" applyFont="1" applyFill="1"/>
    <xf numFmtId="164" fontId="1" fillId="10" borderId="5" xfId="0" applyNumberFormat="1" applyFont="1" applyFill="1" applyBorder="1"/>
    <xf numFmtId="9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/>
    <xf numFmtId="164" fontId="1" fillId="10" borderId="7" xfId="0" applyNumberFormat="1" applyFont="1" applyFill="1" applyBorder="1"/>
    <xf numFmtId="164" fontId="1" fillId="10" borderId="8" xfId="0" applyNumberFormat="1" applyFont="1" applyFill="1" applyBorder="1"/>
    <xf numFmtId="164" fontId="4" fillId="0" borderId="11" xfId="0" applyNumberFormat="1" applyFont="1" applyBorder="1"/>
    <xf numFmtId="164" fontId="4" fillId="5" borderId="10" xfId="0" applyNumberFormat="1" applyFont="1" applyFill="1" applyBorder="1"/>
    <xf numFmtId="0" fontId="4" fillId="0" borderId="4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4" fillId="0" borderId="5" xfId="0" applyNumberFormat="1" applyFont="1" applyBorder="1"/>
    <xf numFmtId="0" fontId="4" fillId="7" borderId="9" xfId="0" applyFont="1" applyFill="1" applyBorder="1"/>
    <xf numFmtId="0" fontId="4" fillId="7" borderId="10" xfId="0" applyFont="1" applyFill="1" applyBorder="1" applyAlignment="1">
      <alignment horizontal="center"/>
    </xf>
    <xf numFmtId="164" fontId="4" fillId="7" borderId="10" xfId="0" applyNumberFormat="1" applyFont="1" applyFill="1" applyBorder="1"/>
    <xf numFmtId="164" fontId="4" fillId="7" borderId="11" xfId="0" applyNumberFormat="1" applyFont="1" applyFill="1" applyBorder="1"/>
    <xf numFmtId="164" fontId="1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/>
    <xf numFmtId="164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/>
    <xf numFmtId="16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/>
    <xf numFmtId="0" fontId="1" fillId="8" borderId="9" xfId="0" applyFont="1" applyFill="1" applyBorder="1"/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0" fontId="4" fillId="8" borderId="6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0" xfId="0" applyFont="1" applyFill="1"/>
    <xf numFmtId="164" fontId="4" fillId="8" borderId="10" xfId="0" applyNumberFormat="1" applyFont="1" applyFill="1" applyBorder="1" applyAlignment="1">
      <alignment horizontal="right"/>
    </xf>
    <xf numFmtId="164" fontId="4" fillId="8" borderId="13" xfId="0" applyNumberFormat="1" applyFont="1" applyFill="1" applyBorder="1" applyAlignment="1">
      <alignment horizontal="right"/>
    </xf>
    <xf numFmtId="0" fontId="4" fillId="8" borderId="1" xfId="0" applyFont="1" applyFill="1" applyBorder="1"/>
    <xf numFmtId="164" fontId="1" fillId="8" borderId="2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left"/>
    </xf>
    <xf numFmtId="164" fontId="1" fillId="8" borderId="3" xfId="0" applyNumberFormat="1" applyFont="1" applyFill="1" applyBorder="1" applyAlignment="1">
      <alignment horizontal="center"/>
    </xf>
    <xf numFmtId="164" fontId="4" fillId="8" borderId="3" xfId="0" applyNumberFormat="1" applyFont="1" applyFill="1" applyBorder="1"/>
    <xf numFmtId="0" fontId="1" fillId="8" borderId="1" xfId="0" applyFont="1" applyFill="1" applyBorder="1"/>
    <xf numFmtId="0" fontId="1" fillId="8" borderId="2" xfId="0" applyFont="1" applyFill="1" applyBorder="1" applyAlignment="1">
      <alignment horizontal="center"/>
    </xf>
    <xf numFmtId="164" fontId="1" fillId="8" borderId="1" xfId="0" applyNumberFormat="1" applyFont="1" applyFill="1" applyBorder="1"/>
    <xf numFmtId="164" fontId="1" fillId="8" borderId="3" xfId="0" applyNumberFormat="1" applyFont="1" applyFill="1" applyBorder="1"/>
    <xf numFmtId="0" fontId="1" fillId="8" borderId="4" xfId="0" applyFont="1" applyFill="1" applyBorder="1"/>
    <xf numFmtId="0" fontId="1" fillId="8" borderId="0" xfId="0" applyFont="1" applyFill="1" applyAlignment="1">
      <alignment horizontal="center"/>
    </xf>
    <xf numFmtId="164" fontId="1" fillId="8" borderId="4" xfId="0" applyNumberFormat="1" applyFont="1" applyFill="1" applyBorder="1"/>
    <xf numFmtId="164" fontId="1" fillId="8" borderId="5" xfId="0" applyNumberFormat="1" applyFont="1" applyFill="1" applyBorder="1"/>
    <xf numFmtId="9" fontId="1" fillId="8" borderId="5" xfId="1" applyFont="1" applyFill="1" applyBorder="1" applyProtection="1"/>
    <xf numFmtId="0" fontId="1" fillId="8" borderId="6" xfId="0" applyFont="1" applyFill="1" applyBorder="1"/>
    <xf numFmtId="0" fontId="1" fillId="8" borderId="7" xfId="0" applyFont="1" applyFill="1" applyBorder="1"/>
    <xf numFmtId="164" fontId="1" fillId="8" borderId="6" xfId="0" applyNumberFormat="1" applyFont="1" applyFill="1" applyBorder="1"/>
    <xf numFmtId="164" fontId="1" fillId="8" borderId="8" xfId="0" applyNumberFormat="1" applyFont="1" applyFill="1" applyBorder="1"/>
    <xf numFmtId="0" fontId="0" fillId="0" borderId="0" xfId="0" applyAlignment="1">
      <alignment horizontal="center"/>
    </xf>
    <xf numFmtId="0" fontId="0" fillId="6" borderId="0" xfId="0" applyFill="1"/>
    <xf numFmtId="0" fontId="4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4" fontId="4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Protection="1">
      <protection locked="0"/>
    </xf>
    <xf numFmtId="0" fontId="1" fillId="5" borderId="15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164" fontId="4" fillId="9" borderId="3" xfId="0" applyNumberFormat="1" applyFont="1" applyFill="1" applyBorder="1" applyProtection="1">
      <protection locked="0"/>
    </xf>
    <xf numFmtId="14" fontId="4" fillId="9" borderId="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5" borderId="0" xfId="0" applyFont="1" applyFill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164" fontId="4" fillId="0" borderId="9" xfId="0" applyNumberFormat="1" applyFont="1" applyBorder="1"/>
    <xf numFmtId="164" fontId="4" fillId="0" borderId="1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7" fillId="2" borderId="0" xfId="2" applyFont="1" applyFill="1" applyBorder="1" applyAlignment="1" applyProtection="1">
      <alignment horizontal="center"/>
    </xf>
    <xf numFmtId="0" fontId="7" fillId="2" borderId="5" xfId="2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C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146345</xdr:colOff>
      <xdr:row>43</xdr:row>
      <xdr:rowOff>62405</xdr:rowOff>
    </xdr:from>
    <xdr:to>
      <xdr:col>8</xdr:col>
      <xdr:colOff>786787</xdr:colOff>
      <xdr:row>45</xdr:row>
      <xdr:rowOff>32016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20691E76-8E84-9214-1B1D-377C6A72C241}"/>
            </a:ext>
          </a:extLst>
        </xdr:cNvPr>
        <xdr:cNvSpPr txBox="1"/>
      </xdr:nvSpPr>
      <xdr:spPr>
        <a:xfrm>
          <a:off x="1357381" y="8512441"/>
          <a:ext cx="4314370" cy="323396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arto="http://schemas.microsoft.com/office/word/2006/arto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670 Beachmere Rd, Beachmere QLD 4510</a:t>
          </a:r>
          <a:endParaRPr lang="en-AU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P: 07 5429 0511 </a:t>
          </a:r>
          <a:r>
            <a:rPr lang="en-US" sz="1600" b="1">
              <a:solidFill>
                <a:srgbClr val="00528F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  <a:cs typeface="Times New Roman" panose="02020603050405020304" pitchFamily="18" charset="0"/>
            </a:rPr>
            <a:t></a:t>
          </a:r>
          <a: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info@biralisteiner.qld.edu.au</a:t>
          </a:r>
          <a:b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www.biralisteiner.qld.edu.au</a:t>
          </a:r>
          <a:b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MBBSS T/A Birali Steiner School </a:t>
          </a:r>
          <a:r>
            <a:rPr lang="en-US" sz="1600" b="1">
              <a:solidFill>
                <a:srgbClr val="00528F"/>
              </a:solidFill>
              <a:effectLst/>
              <a:latin typeface="Wingdings" panose="05000000000000000000" pitchFamily="2" charset="2"/>
              <a:ea typeface="Times New Roman" panose="02020603050405020304" pitchFamily="18" charset="0"/>
              <a:cs typeface="Times New Roman" panose="02020603050405020304" pitchFamily="18" charset="0"/>
            </a:rPr>
            <a:t></a:t>
          </a:r>
          <a:r>
            <a:rPr lang="en-US" sz="1600" b="1">
              <a:solidFill>
                <a:srgbClr val="00528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ABN 33 417 843 047</a:t>
          </a:r>
          <a:endParaRPr lang="en-AU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600"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AU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114299</xdr:colOff>
      <xdr:row>0</xdr:row>
      <xdr:rowOff>152400</xdr:rowOff>
    </xdr:from>
    <xdr:to>
      <xdr:col>3</xdr:col>
      <xdr:colOff>133350</xdr:colOff>
      <xdr:row>7</xdr:row>
      <xdr:rowOff>131917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1AAB3E-623E-A71C-BF63-8FB041A430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2" t="10268" r="13833" b="11160"/>
        <a:stretch/>
      </xdr:blipFill>
      <xdr:spPr>
        <a:xfrm>
          <a:off x="304799" y="152400"/>
          <a:ext cx="1771651" cy="1379692"/>
        </a:xfrm>
        <a:prstGeom prst="rect">
          <a:avLst/>
        </a:prstGeom>
      </xdr:spPr>
    </xdr:pic>
    <xdr:clientData/>
  </xdr:twoCellAnchor>
  <xdr:twoCellAnchor>
    <xdr:from>
      <xdr:col>3</xdr:col>
      <xdr:colOff>254000</xdr:colOff>
      <xdr:row>1</xdr:row>
      <xdr:rowOff>104774</xdr:rowOff>
    </xdr:from>
    <xdr:to>
      <xdr:col>7</xdr:col>
      <xdr:colOff>838200</xdr:colOff>
      <xdr:row>7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E8994B-1DB3-F768-A426-138335B91BDF}"/>
            </a:ext>
          </a:extLst>
        </xdr:cNvPr>
        <xdr:cNvSpPr txBox="1"/>
      </xdr:nvSpPr>
      <xdr:spPr>
        <a:xfrm>
          <a:off x="2197100" y="285749"/>
          <a:ext cx="2574925" cy="1228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3200" b="1">
              <a:solidFill>
                <a:srgbClr val="0070C0"/>
              </a:solidFill>
            </a:rPr>
            <a:t>Fee Payment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ralisteiner.qld.edu.au/wp-content/uploads/2022/09/Schedule-of-Fees-2023-20220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282FD-4AA8-4FF6-85E9-BA217D387FBF}">
  <sheetPr codeName="Sheet1">
    <pageSetUpPr fitToPage="1"/>
  </sheetPr>
  <dimension ref="B1:AA51"/>
  <sheetViews>
    <sheetView tabSelected="1" showWhiteSpace="0" topLeftCell="A21" zoomScaleNormal="100" zoomScaleSheetLayoutView="70" zoomScalePageLayoutView="55" workbookViewId="0">
      <selection activeCell="G27" sqref="G27"/>
    </sheetView>
  </sheetViews>
  <sheetFormatPr defaultColWidth="9.1796875" defaultRowHeight="14.5" x14ac:dyDescent="0.35"/>
  <cols>
    <col min="1" max="1" width="2.7265625" customWidth="1"/>
    <col min="2" max="2" width="14.54296875" customWidth="1"/>
    <col min="3" max="3" width="10.453125" style="90" bestFit="1" customWidth="1"/>
    <col min="4" max="4" width="15.453125" style="90" customWidth="1"/>
    <col min="5" max="5" width="12.54296875" style="91" hidden="1" customWidth="1"/>
    <col min="6" max="6" width="14.7265625" style="91" hidden="1" customWidth="1"/>
    <col min="7" max="7" width="13.1796875" customWidth="1"/>
    <col min="8" max="8" width="13.54296875" customWidth="1"/>
    <col min="9" max="9" width="14.26953125" customWidth="1"/>
    <col min="10" max="10" width="18.81640625" customWidth="1"/>
    <col min="11" max="11" width="9.1796875" customWidth="1"/>
  </cols>
  <sheetData>
    <row r="1" spans="2:27" x14ac:dyDescent="0.35">
      <c r="B1" s="9"/>
      <c r="C1" s="10"/>
      <c r="D1" s="10"/>
      <c r="E1" s="11"/>
      <c r="F1" s="11"/>
      <c r="G1" s="11"/>
      <c r="H1" s="11"/>
      <c r="I1" s="11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2:27" x14ac:dyDescent="0.35">
      <c r="B2" s="14"/>
      <c r="C2" s="15"/>
      <c r="D2" s="15"/>
      <c r="E2" s="13"/>
      <c r="F2" s="13"/>
      <c r="G2" s="13"/>
      <c r="H2" s="13"/>
      <c r="I2" s="112" t="s">
        <v>0</v>
      </c>
      <c r="J2" s="1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2:27" ht="23.5" x14ac:dyDescent="0.55000000000000004">
      <c r="B3" s="14"/>
      <c r="C3" s="15"/>
      <c r="D3" s="15"/>
      <c r="E3" s="13"/>
      <c r="F3" s="13"/>
      <c r="G3" s="13"/>
      <c r="H3" s="13"/>
      <c r="I3" s="126" t="s">
        <v>1</v>
      </c>
      <c r="J3" s="12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2:27" x14ac:dyDescent="0.35">
      <c r="B4" s="14"/>
      <c r="C4" s="15"/>
      <c r="D4" s="15"/>
      <c r="E4" s="13"/>
      <c r="F4" s="13"/>
      <c r="G4" s="13"/>
      <c r="H4" s="13"/>
      <c r="I4" s="13"/>
      <c r="J4" s="1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2:27" x14ac:dyDescent="0.35">
      <c r="B5" s="14"/>
      <c r="C5" s="13"/>
      <c r="D5" s="15"/>
      <c r="E5" s="13"/>
      <c r="F5" s="13"/>
      <c r="G5" s="13"/>
      <c r="H5" s="13"/>
      <c r="I5" s="103" t="s">
        <v>2</v>
      </c>
      <c r="J5" s="10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2:27" ht="15" customHeight="1" x14ac:dyDescent="0.35">
      <c r="B6" s="14"/>
      <c r="C6" s="15"/>
      <c r="D6" s="15"/>
      <c r="E6" s="13"/>
      <c r="F6" s="13"/>
      <c r="G6" s="13"/>
      <c r="H6" s="13"/>
      <c r="I6" s="103"/>
      <c r="J6" s="10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ht="15" customHeight="1" x14ac:dyDescent="0.35">
      <c r="B7" s="14"/>
      <c r="C7" s="15"/>
      <c r="D7" s="15"/>
      <c r="E7" s="13"/>
      <c r="F7" s="13"/>
      <c r="G7" s="13"/>
      <c r="H7" s="13"/>
      <c r="I7" s="103"/>
      <c r="J7" s="10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7" x14ac:dyDescent="0.35">
      <c r="B8" s="14"/>
      <c r="C8" s="13"/>
      <c r="D8" s="15"/>
      <c r="E8" s="13"/>
      <c r="F8" s="13"/>
      <c r="G8" s="13"/>
      <c r="H8" s="13"/>
      <c r="I8" s="13"/>
      <c r="J8" s="1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27" ht="15" thickBot="1" x14ac:dyDescent="0.4">
      <c r="B9" s="14"/>
      <c r="C9" s="13"/>
      <c r="D9" s="15"/>
      <c r="E9" s="13"/>
      <c r="F9" s="13"/>
      <c r="G9" s="13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7" s="21" customFormat="1" ht="39.5" thickBot="1" x14ac:dyDescent="0.4">
      <c r="B10" s="17" t="s">
        <v>3</v>
      </c>
      <c r="C10" s="18" t="s">
        <v>4</v>
      </c>
      <c r="D10" s="18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20" t="s">
        <v>11</v>
      </c>
    </row>
    <row r="11" spans="2:27" s="25" customFormat="1" x14ac:dyDescent="0.35">
      <c r="B11" s="22" t="s">
        <v>12</v>
      </c>
      <c r="C11" s="92"/>
      <c r="D11" s="93"/>
      <c r="E11" s="23" t="str">
        <f>IF(C11=7,'2023 formulas'!C27,IF(C11="prep",'2023 formulas'!C20,IF(C11=1,'2023 formulas'!C21,IF(C11=2,'2023 formulas'!C22,IF(C11=3,'2023 formulas'!C23,IF(C11=4,'2023 formulas'!C24,IF(C11=5,'2023 formulas'!C25,IF(C11=6,'2023 formulas'!C26,IF(C11=8,'2023 formulas'!C28,IF(C11=9,'2023 formulas'!C29,IF(C11=10,'2023 formulas'!C30,IF(C11=0,"-"))))))))))))</f>
        <v>-</v>
      </c>
      <c r="F11" s="23" t="str">
        <f>IF(C11=0,"-",IF(C11=7,'2023 formulas'!D27,IF(C11="prep",'2023 formulas'!D20,IF(C11=1,'2023 formulas'!D21,IF(C11=2,'2023 formulas'!D22,IF(C11=3,'2023 formulas'!D23,IF(C11=4,'2023 formulas'!D24,IF(C11=5,'2023 formulas'!D25,IF(C11=6,'2023 formulas'!D26,IF(C11=8,'2023 formulas'!D28,IF(C11=9,'2023 formulas'!D29,IF(C11=10,'2023 formulas'!D30))))))))))))</f>
        <v>-</v>
      </c>
      <c r="G11" s="23" t="str">
        <f>IF($D11="1,2,3,4",$E11,IF($D11="2,3,4",($E11)*(3/4),IF($D11="3,4",($E11)*(1/2),IF($D11="4 only",($E11)*(1/4),IF($D11=0,"-")))))</f>
        <v>-</v>
      </c>
      <c r="H11" s="23" t="str">
        <f>IF($D11="1,2,3,4",$F11,IF($D11="2,3,4",($F11)*(3/4),IF($D11="3,4",($F11)*(1/2),IF($D11="4 only",($F11)*(1/4),IF($D11=0,"-")))))</f>
        <v>-</v>
      </c>
      <c r="I11" s="23" t="str">
        <f>IF(C11=0,"-",IF(C11=7,'2023 formulas'!E27,IF(C11="prep",'2023 formulas'!E20,IF(C11=1,'2023 formulas'!E21,IF(C11=2,'2023 formulas'!E22,IF(C11=3,'2023 formulas'!E23,IF(C11=4,'2023 formulas'!E24,IF(C11=5,'2023 formulas'!E25,IF(C11=6,'2023 formulas'!E26,IF(C11=8,'2023 formulas'!E28,IF(C11=9,'2023 formulas'!E29,IF(C11=10,'2023 formulas'!E30))))))))))))</f>
        <v>-</v>
      </c>
      <c r="J11" s="24">
        <f>IF(C11&gt;0,H11+G11+I11,0)</f>
        <v>0</v>
      </c>
    </row>
    <row r="12" spans="2:27" s="21" customFormat="1" x14ac:dyDescent="0.35">
      <c r="B12" s="26" t="s">
        <v>14</v>
      </c>
      <c r="C12" s="92"/>
      <c r="D12" s="93"/>
      <c r="E12" s="23" t="str">
        <f>IF(C12=0,"-",IF(C12=7,'2023 formulas'!C27,IF(C12="prep",'2023 formulas'!C20,IF(C12=1,'2023 formulas'!C21,IF(C12=2,'2023 formulas'!C22,IF(C12=3,'2023 formulas'!C23,IF(C12=4,'2023 formulas'!C24,IF(C12=5,'2023 formulas'!C25,IF(C12=6,'2023 formulas'!C26,IF(C12=8,'2023 formulas'!C28,IF(C12=9,'2023 formulas'!C29,IF(C12=10,'2023 formulas'!C30))))))))))))</f>
        <v>-</v>
      </c>
      <c r="F12" s="23" t="str">
        <f>IF(C12=0,"-",IF(C12=7,'2023 formulas'!D28,IF(C12="prep",'2023 formulas'!D21,IF(C12=1,'2023 formulas'!D22,IF(C12=2,'2023 formulas'!D23,IF(C12=3,'2023 formulas'!D24,IF(C12=4,'2023 formulas'!D25,IF(C12=5,'2023 formulas'!D26,IF(C12=6,'2023 formulas'!D27,IF(C12=8,'2023 formulas'!D29,IF(C12=9,'2023 formulas'!D30,IF(C12=10,'2023 formulas'!D31))))))))))))</f>
        <v>-</v>
      </c>
      <c r="G12" s="23" t="str">
        <f>IF($D12="1,2,3,4",$E12,IF($D12="2,3,4",($E12)*(3/4),IF($D12="3,4",($E12)*(1/2),IF($D12="4 only",($E12)*(1/4),IF($D12=0,"-")))))</f>
        <v>-</v>
      </c>
      <c r="H12" s="23" t="str">
        <f>IF($D12="1,2,3,4",$F12,IF($D12="2,3,4",($F12)*(3/4),IF($D12="3,4",($F12)*(1/2),IF($D12="4 only",($F12)*(1/4),IF($D12=0,"-")))))</f>
        <v>-</v>
      </c>
      <c r="I12" s="23" t="str">
        <f>IF(C12=0,"-",IF(C12=7,'2023 formulas'!E27,IF(C12="prep",'2023 formulas'!E20,IF(C12=1,'2023 formulas'!E21,IF(C12=2,'2023 formulas'!E22,IF(C12=3,'2023 formulas'!E23,IF(C12=4,'2023 formulas'!E24,IF(C12=5,'2023 formulas'!E25,IF(C12=6,'2023 formulas'!E26,IF(C12=8,'2023 formulas'!E28,IF(C12=9,'2023 formulas'!E29,IF(C12=10,'2023 formulas'!E30))))))))))))</f>
        <v>-</v>
      </c>
      <c r="J12" s="24">
        <f>IF(C12&gt;0,H12+G12+I12,0)</f>
        <v>0</v>
      </c>
    </row>
    <row r="13" spans="2:27" s="21" customFormat="1" x14ac:dyDescent="0.35">
      <c r="B13" s="26" t="s">
        <v>15</v>
      </c>
      <c r="C13" s="92"/>
      <c r="D13" s="93"/>
      <c r="E13" s="23" t="str">
        <f>IF(C13=0,"-",IF(C13=7,'2023 formulas'!C27,IF(C13="prep",'2023 formulas'!C20,IF(C13=1,'2023 formulas'!C21,IF(C13=2,'2023 formulas'!C22,IF(C13=3,'2023 formulas'!C23,IF(C13=4,'2023 formulas'!C24,IF(C13=5,'2023 formulas'!C25,IF(C13=6,'2023 formulas'!C26,IF(C13=8,'2023 formulas'!C28,IF(C13=9,'2023 formulas'!C29,IF(C13=10,'2023 formulas'!C30))))))))))))</f>
        <v>-</v>
      </c>
      <c r="F13" s="23" t="str">
        <f>IF(C13=0,"-",IF(C13=7,'2023 formulas'!D29,IF(C13="prep",'2023 formulas'!D22,IF(C13=1,'2023 formulas'!D23,IF(C13=2,'2023 formulas'!D24,IF(C13=3,'2023 formulas'!D25,IF(C13=4,'2023 formulas'!D26,IF(C13=5,'2023 formulas'!D27,IF(C13=6,'2023 formulas'!D28,IF(C13=8,'2023 formulas'!D30,IF(C13=9,'2023 formulas'!D31,IF(C13=10,'2023 formulas'!D32))))))))))))</f>
        <v>-</v>
      </c>
      <c r="G13" s="23" t="str">
        <f>IF($D13="1,2,3,4",$E13,IF($D13="2,3,4",($E13)*(3/4),IF($D13="3,4",($E13)*(1/2),IF($D13="4 only",($E13)*(1/4),IF($D13=0,"-")))))</f>
        <v>-</v>
      </c>
      <c r="H13" s="23" t="str">
        <f>IF($D13="1,2,3,4",$F13,IF($D13="2,3,4",($F13)*(3/4),IF($D13="3,4",($F13)*(1/2),IF($D13="4 only",($F13)*(1/4),IF($D13=0,"-")))))</f>
        <v>-</v>
      </c>
      <c r="I13" s="23" t="str">
        <f>IF(C13=0,"-",IF(C13=7,'2023 formulas'!E27,IF(C13="prep",'2023 formulas'!E20,IF(C13=1,'2023 formulas'!E21,IF(C13=2,'2023 formulas'!E22,IF(C13=3,'2023 formulas'!E23,IF(C13=4,'2023 formulas'!E24,IF(C13=5,'2023 formulas'!E25,IF(C13=6,'2023 formulas'!E26,IF(C13=8,'2023 formulas'!E28,IF(C13=9,'2023 formulas'!E29,IF(C13=10,'2023 formulas'!E30))))))))))))</f>
        <v>-</v>
      </c>
      <c r="J13" s="24">
        <f>IF(C13&gt;0,H13+G13+I13,0)</f>
        <v>0</v>
      </c>
    </row>
    <row r="14" spans="2:27" s="21" customFormat="1" ht="15" thickBot="1" x14ac:dyDescent="0.4">
      <c r="B14" s="27" t="s">
        <v>16</v>
      </c>
      <c r="C14" s="92"/>
      <c r="D14" s="93"/>
      <c r="E14" s="23" t="str">
        <f>IF(C14=0,"-",IF(C14=7,'2023 formulas'!C27,IF(C14="prep",'2023 formulas'!C20,IF(C14=1,'2023 formulas'!C21,IF(C14=2,'2023 formulas'!C22,IF(C14=3,'2023 formulas'!C23,IF(C14=4,'2023 formulas'!C24,IF(C14=5,'2023 formulas'!C25,IF(C14=6,'2023 formulas'!C26,IF(C14=8,'2023 formulas'!C28,IF(C14=9,'2023 formulas'!C29,IF(C14=10,'2023 formulas'!C30))))))))))))</f>
        <v>-</v>
      </c>
      <c r="F14" s="23" t="str">
        <f>IF(C14=0,"-",IF(C14=7,'2023 formulas'!D27,IF(C14="prep",'2023 formulas'!D20,IF(C14=1,'2023 formulas'!D21,IF(C14=2,'2023 formulas'!D22,IF(C14=3,'2023 formulas'!D22,IF(C14=4,'2023 formulas'!D24,IF(C14=5,'2023 formulas'!D25,IF(C14=6,'2023 formulas'!D26,IF(C14=8,'2023 formulas'!D28,IF(C14=9,'2023 formulas'!D29,IF(C14=10,'2023 formulas'!D30))))))))))))</f>
        <v>-</v>
      </c>
      <c r="G14" s="23" t="str">
        <f>IF($D14="1,2,3,4",$E14,IF($D14="2,3,4",($E14)*(3/4),IF($D14="3,4",($E14)*(1/2),IF($D14="4 only",($E14)*(1/4),IF($D14=0,"-")))))</f>
        <v>-</v>
      </c>
      <c r="H14" s="23" t="str">
        <f>IF($D14="1,2,3,4",$F14,IF($D14="2,3,4",($F14)*(3/4),IF($D14="3,4",($F14)*(1/2),IF($D14="4 only",($F14)*(1/4),IF($D14=0,"-")))))</f>
        <v>-</v>
      </c>
      <c r="I14" s="23" t="str">
        <f>IF(C14=0,"-",IF(C14=7,'2023 formulas'!E27,IF(C14="prep",'2023 formulas'!E20,IF(C14=1,'2023 formulas'!E21,IF(C14=2,'2023 formulas'!E22,IF(C14=3,'2023 formulas'!E23,IF(C14=4,'2023 formulas'!E24,IF(C14=5,'2023 formulas'!E25,IF(C14=6,'2023 formulas'!E26,IF(C14=8,'2023 formulas'!E28,IF(C14=9,'2023 formulas'!E29,IF(C14=10,'2023 formulas'!E30))))))))))))</f>
        <v>-</v>
      </c>
      <c r="J14" s="28">
        <f>IF(C14&gt;0,H14+G14+I14,0)</f>
        <v>0</v>
      </c>
    </row>
    <row r="15" spans="2:27" s="21" customFormat="1" ht="15" thickBot="1" x14ac:dyDescent="0.4">
      <c r="B15" s="105" t="s">
        <v>17</v>
      </c>
      <c r="C15" s="106"/>
      <c r="D15" s="106"/>
      <c r="E15" s="31">
        <f t="shared" ref="E15:J15" si="0">SUM(E11:E14)</f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2">
        <f t="shared" si="0"/>
        <v>0</v>
      </c>
    </row>
    <row r="16" spans="2:27" s="33" customFormat="1" ht="15" thickBot="1" x14ac:dyDescent="0.4">
      <c r="B16" s="107"/>
      <c r="C16" s="108"/>
      <c r="D16" s="108"/>
      <c r="E16" s="108"/>
      <c r="F16" s="108"/>
      <c r="G16" s="108"/>
      <c r="H16" s="108"/>
      <c r="I16" s="108"/>
      <c r="J16" s="109"/>
    </row>
    <row r="17" spans="2:10" s="21" customFormat="1" ht="15" thickBot="1" x14ac:dyDescent="0.4">
      <c r="B17" s="100" t="s">
        <v>18</v>
      </c>
      <c r="C17" s="101"/>
      <c r="D17" s="101"/>
      <c r="E17" s="101"/>
      <c r="F17" s="101"/>
      <c r="G17" s="101"/>
      <c r="H17" s="101"/>
      <c r="I17" s="101"/>
      <c r="J17" s="102"/>
    </row>
    <row r="18" spans="2:10" s="21" customFormat="1" x14ac:dyDescent="0.35">
      <c r="B18" s="26" t="s">
        <v>14</v>
      </c>
      <c r="C18" s="34">
        <v>0.1</v>
      </c>
      <c r="D18" s="35"/>
      <c r="E18" s="36"/>
      <c r="F18" s="35">
        <v>0</v>
      </c>
      <c r="G18" s="23" t="str">
        <f>IF(C12&gt;0,G12*0.1,"-")</f>
        <v>-</v>
      </c>
      <c r="H18" s="37"/>
      <c r="I18" s="37"/>
      <c r="J18" s="38"/>
    </row>
    <row r="19" spans="2:10" s="21" customFormat="1" x14ac:dyDescent="0.35">
      <c r="B19" s="26" t="s">
        <v>15</v>
      </c>
      <c r="C19" s="34">
        <v>0.2</v>
      </c>
      <c r="D19" s="35"/>
      <c r="E19" s="36"/>
      <c r="F19" s="35">
        <v>0</v>
      </c>
      <c r="G19" s="23" t="str">
        <f>IF(C13&gt;0,G13*0.2,"-")</f>
        <v>-</v>
      </c>
      <c r="H19" s="37"/>
      <c r="I19" s="37"/>
      <c r="J19" s="38"/>
    </row>
    <row r="20" spans="2:10" s="21" customFormat="1" ht="15" thickBot="1" x14ac:dyDescent="0.4">
      <c r="B20" s="27" t="s">
        <v>16</v>
      </c>
      <c r="C20" s="39">
        <v>0.3</v>
      </c>
      <c r="D20" s="35"/>
      <c r="E20" s="36"/>
      <c r="F20" s="40">
        <v>0</v>
      </c>
      <c r="G20" s="23" t="str">
        <f>IF(C14&gt;0,G14*0.3,"-")</f>
        <v>-</v>
      </c>
      <c r="H20" s="41"/>
      <c r="I20" s="41"/>
      <c r="J20" s="42"/>
    </row>
    <row r="21" spans="2:10" s="21" customFormat="1" ht="15" thickBot="1" x14ac:dyDescent="0.4">
      <c r="B21" s="124" t="s">
        <v>19</v>
      </c>
      <c r="C21" s="125"/>
      <c r="D21" s="125"/>
      <c r="E21" s="36"/>
      <c r="F21" s="30">
        <v>0</v>
      </c>
      <c r="G21" s="30">
        <f>SUM(G18:G20)</f>
        <v>0</v>
      </c>
      <c r="H21" s="123"/>
      <c r="I21" s="123"/>
      <c r="J21" s="43">
        <f>SUM(G21)</f>
        <v>0</v>
      </c>
    </row>
    <row r="22" spans="2:10" s="33" customFormat="1" ht="15" thickBot="1" x14ac:dyDescent="0.4">
      <c r="B22" s="128"/>
      <c r="C22" s="129"/>
      <c r="D22" s="129"/>
      <c r="E22" s="129"/>
      <c r="F22" s="129"/>
      <c r="G22" s="129"/>
      <c r="H22" s="129"/>
      <c r="I22" s="129"/>
      <c r="J22" s="130"/>
    </row>
    <row r="23" spans="2:10" s="33" customFormat="1" ht="15" hidden="1" thickBot="1" x14ac:dyDescent="0.4">
      <c r="B23" s="29" t="s">
        <v>20</v>
      </c>
      <c r="C23" s="44">
        <v>0</v>
      </c>
      <c r="D23" s="30"/>
      <c r="E23" s="30"/>
      <c r="F23" s="30"/>
      <c r="G23" s="30"/>
      <c r="H23" s="30"/>
      <c r="I23" s="30"/>
      <c r="J23" s="43">
        <f>C23</f>
        <v>0</v>
      </c>
    </row>
    <row r="24" spans="2:10" s="33" customFormat="1" ht="15" hidden="1" thickBot="1" x14ac:dyDescent="0.4">
      <c r="B24" s="45"/>
      <c r="C24" s="46"/>
      <c r="D24" s="46"/>
      <c r="E24" s="47"/>
      <c r="F24" s="47"/>
      <c r="G24" s="47"/>
      <c r="H24" s="47"/>
      <c r="I24" s="47"/>
      <c r="J24" s="48"/>
    </row>
    <row r="25" spans="2:10" s="33" customFormat="1" ht="15" thickBot="1" x14ac:dyDescent="0.4">
      <c r="B25" s="49" t="s">
        <v>21</v>
      </c>
      <c r="C25" s="50"/>
      <c r="D25" s="50"/>
      <c r="E25" s="51">
        <f>SUM(E15-G21)</f>
        <v>0</v>
      </c>
      <c r="F25" s="51">
        <f>SUM(F15-F21)</f>
        <v>0</v>
      </c>
      <c r="G25" s="51"/>
      <c r="H25" s="51"/>
      <c r="I25" s="51"/>
      <c r="J25" s="52">
        <f>J15-J21+J23</f>
        <v>0</v>
      </c>
    </row>
    <row r="26" spans="2:10" s="33" customFormat="1" ht="15" thickBot="1" x14ac:dyDescent="0.4">
      <c r="B26" s="107"/>
      <c r="C26" s="108"/>
      <c r="D26" s="108"/>
      <c r="E26" s="108"/>
      <c r="F26" s="108"/>
      <c r="G26" s="108"/>
      <c r="H26" s="108"/>
      <c r="I26" s="108"/>
      <c r="J26" s="109"/>
    </row>
    <row r="27" spans="2:10" s="21" customFormat="1" ht="33" customHeight="1" thickBot="1" x14ac:dyDescent="0.4">
      <c r="B27" s="110" t="s">
        <v>22</v>
      </c>
      <c r="C27" s="111"/>
      <c r="D27" s="111"/>
      <c r="E27" s="53"/>
      <c r="F27" s="53"/>
      <c r="G27" s="94">
        <v>44946</v>
      </c>
      <c r="H27" s="54" t="s">
        <v>23</v>
      </c>
      <c r="I27" s="55" t="s">
        <v>24</v>
      </c>
      <c r="J27" s="56" t="s">
        <v>25</v>
      </c>
    </row>
    <row r="28" spans="2:10" s="21" customFormat="1" x14ac:dyDescent="0.35">
      <c r="B28" s="114" t="s">
        <v>26</v>
      </c>
      <c r="C28" s="115"/>
      <c r="D28" s="115"/>
      <c r="E28" s="115"/>
      <c r="F28" s="115"/>
      <c r="G28" s="116"/>
      <c r="H28" s="57">
        <f>'2023 formulas'!E39</f>
        <v>46</v>
      </c>
      <c r="I28" s="58">
        <f>$J$25/H28</f>
        <v>0</v>
      </c>
      <c r="J28" s="95"/>
    </row>
    <row r="29" spans="2:10" s="21" customFormat="1" x14ac:dyDescent="0.35">
      <c r="B29" s="117" t="s">
        <v>27</v>
      </c>
      <c r="C29" s="118"/>
      <c r="D29" s="118"/>
      <c r="E29" s="118"/>
      <c r="F29" s="118"/>
      <c r="G29" s="119"/>
      <c r="H29" s="59">
        <f>'2023 formulas'!F39</f>
        <v>23</v>
      </c>
      <c r="I29" s="60">
        <f>$J$25/H29</f>
        <v>0</v>
      </c>
      <c r="J29" s="96"/>
    </row>
    <row r="30" spans="2:10" s="21" customFormat="1" x14ac:dyDescent="0.35">
      <c r="B30" s="117" t="s">
        <v>28</v>
      </c>
      <c r="C30" s="118"/>
      <c r="D30" s="118"/>
      <c r="E30" s="118"/>
      <c r="F30" s="118"/>
      <c r="G30" s="119"/>
      <c r="H30" s="59">
        <f>'2023 formulas'!G39</f>
        <v>10.387096774193548</v>
      </c>
      <c r="I30" s="60">
        <f>$J$25/H30</f>
        <v>0</v>
      </c>
      <c r="J30" s="96"/>
    </row>
    <row r="31" spans="2:10" s="21" customFormat="1" ht="16.5" customHeight="1" x14ac:dyDescent="0.35">
      <c r="B31" s="117" t="s">
        <v>29</v>
      </c>
      <c r="C31" s="118"/>
      <c r="D31" s="118"/>
      <c r="E31" s="118"/>
      <c r="F31" s="118"/>
      <c r="G31" s="119"/>
      <c r="H31" s="59">
        <f>'2023 formulas'!H39</f>
        <v>4</v>
      </c>
      <c r="I31" s="60">
        <f>IF(H31&gt;0,J25/H31,0)</f>
        <v>0</v>
      </c>
      <c r="J31" s="96"/>
    </row>
    <row r="32" spans="2:10" s="21" customFormat="1" ht="15" thickBot="1" x14ac:dyDescent="0.4">
      <c r="B32" s="120" t="s">
        <v>30</v>
      </c>
      <c r="C32" s="121"/>
      <c r="D32" s="121"/>
      <c r="E32" s="121"/>
      <c r="F32" s="121"/>
      <c r="G32" s="122"/>
      <c r="H32" s="61">
        <v>1</v>
      </c>
      <c r="I32" s="62">
        <f>IF((G27&lt;=DATE(2023,2,28)),J25-(E25*'2023 formulas'!B42),0)</f>
        <v>0</v>
      </c>
      <c r="J32" s="97"/>
    </row>
    <row r="33" spans="2:10" s="21" customFormat="1" ht="18" customHeight="1" thickBot="1" x14ac:dyDescent="0.4">
      <c r="B33" s="107"/>
      <c r="C33" s="108"/>
      <c r="D33" s="108"/>
      <c r="E33" s="108"/>
      <c r="F33" s="108"/>
      <c r="G33" s="108"/>
      <c r="H33" s="108"/>
      <c r="I33" s="108"/>
      <c r="J33" s="109"/>
    </row>
    <row r="34" spans="2:10" s="21" customFormat="1" ht="15" thickBot="1" x14ac:dyDescent="0.4">
      <c r="B34" s="63" t="s">
        <v>31</v>
      </c>
      <c r="C34" s="64"/>
      <c r="D34" s="64"/>
      <c r="E34" s="65"/>
      <c r="F34" s="65"/>
      <c r="G34" s="65"/>
      <c r="H34" s="65"/>
      <c r="I34" s="65"/>
      <c r="J34" s="66"/>
    </row>
    <row r="35" spans="2:10" s="21" customFormat="1" ht="15" thickBot="1" x14ac:dyDescent="0.4">
      <c r="B35" s="67"/>
      <c r="C35" s="68"/>
      <c r="D35" s="68"/>
      <c r="E35" s="69"/>
      <c r="F35" s="69"/>
      <c r="G35" s="68"/>
      <c r="H35" s="70" t="s">
        <v>32</v>
      </c>
      <c r="I35" s="98"/>
      <c r="J35" s="71" t="s">
        <v>33</v>
      </c>
    </row>
    <row r="36" spans="2:10" s="21" customFormat="1" ht="15" thickBot="1" x14ac:dyDescent="0.4">
      <c r="B36" s="72" t="s">
        <v>34</v>
      </c>
      <c r="D36" s="99">
        <v>44947</v>
      </c>
      <c r="E36" s="69"/>
      <c r="F36" s="69"/>
      <c r="G36" s="73"/>
      <c r="H36" s="74" t="s">
        <v>35</v>
      </c>
      <c r="I36" s="75"/>
      <c r="J36" s="76">
        <f>J25-I35</f>
        <v>0</v>
      </c>
    </row>
    <row r="37" spans="2:10" s="21" customFormat="1" x14ac:dyDescent="0.35">
      <c r="B37" s="77" t="s">
        <v>26</v>
      </c>
      <c r="C37" s="78"/>
      <c r="D37" s="78"/>
      <c r="E37" s="69"/>
      <c r="F37" s="69"/>
      <c r="G37" s="78"/>
      <c r="H37" s="79">
        <f>'2023 formulas'!E49</f>
        <v>46</v>
      </c>
      <c r="I37" s="80"/>
      <c r="J37" s="80">
        <f>$J$36/H37</f>
        <v>0</v>
      </c>
    </row>
    <row r="38" spans="2:10" s="21" customFormat="1" x14ac:dyDescent="0.35">
      <c r="B38" s="81" t="s">
        <v>27</v>
      </c>
      <c r="C38" s="82"/>
      <c r="D38" s="82"/>
      <c r="E38" s="69"/>
      <c r="F38" s="69"/>
      <c r="G38" s="82"/>
      <c r="H38" s="83">
        <f>'2023 formulas'!F49</f>
        <v>23</v>
      </c>
      <c r="I38" s="84"/>
      <c r="J38" s="84">
        <f>$J$36/H38</f>
        <v>0</v>
      </c>
    </row>
    <row r="39" spans="2:10" s="21" customFormat="1" x14ac:dyDescent="0.35">
      <c r="B39" s="81" t="s">
        <v>28</v>
      </c>
      <c r="C39" s="82"/>
      <c r="D39" s="82"/>
      <c r="E39" s="69"/>
      <c r="F39" s="69"/>
      <c r="G39" s="82"/>
      <c r="H39" s="83">
        <f>'2023 formulas'!G49</f>
        <v>10.35483870967742</v>
      </c>
      <c r="I39" s="84"/>
      <c r="J39" s="84">
        <f>$J$36/H39</f>
        <v>0</v>
      </c>
    </row>
    <row r="40" spans="2:10" s="21" customFormat="1" x14ac:dyDescent="0.35">
      <c r="B40" s="81" t="s">
        <v>36</v>
      </c>
      <c r="C40" s="82"/>
      <c r="D40" s="82"/>
      <c r="E40" s="69"/>
      <c r="F40" s="69"/>
      <c r="G40" s="82"/>
      <c r="H40" s="83">
        <f>'2023 formulas'!H49</f>
        <v>4</v>
      </c>
      <c r="I40" s="84"/>
      <c r="J40" s="84">
        <f>$J$36/H40</f>
        <v>0</v>
      </c>
    </row>
    <row r="41" spans="2:10" s="21" customFormat="1" x14ac:dyDescent="0.35">
      <c r="B41" s="81" t="s">
        <v>37</v>
      </c>
      <c r="C41" s="82"/>
      <c r="D41" s="82"/>
      <c r="E41" s="69"/>
      <c r="F41" s="69"/>
      <c r="G41" s="82"/>
      <c r="H41" s="83">
        <v>1</v>
      </c>
      <c r="I41" s="85"/>
      <c r="J41" s="84">
        <f>IF((D36&lt;=DATE(2023,2,28)),J36-(E25*'2023 formulas'!B42),0)</f>
        <v>0</v>
      </c>
    </row>
    <row r="42" spans="2:10" s="21" customFormat="1" ht="15" thickBot="1" x14ac:dyDescent="0.4">
      <c r="B42" s="86"/>
      <c r="C42" s="68"/>
      <c r="D42" s="68"/>
      <c r="E42" s="87"/>
      <c r="F42" s="87"/>
      <c r="G42" s="68"/>
      <c r="H42" s="88"/>
      <c r="I42" s="89"/>
      <c r="J42" s="89"/>
    </row>
    <row r="43" spans="2:10" s="13" customFormat="1" x14ac:dyDescent="0.35">
      <c r="C43" s="15"/>
      <c r="D43" s="15"/>
    </row>
    <row r="44" spans="2:10" s="13" customFormat="1" x14ac:dyDescent="0.35">
      <c r="C44" s="15"/>
      <c r="D44" s="15"/>
    </row>
    <row r="45" spans="2:10" s="13" customFormat="1" x14ac:dyDescent="0.35">
      <c r="C45" s="15"/>
      <c r="D45" s="15"/>
    </row>
    <row r="46" spans="2:10" s="13" customFormat="1" x14ac:dyDescent="0.35">
      <c r="C46" s="15"/>
      <c r="D46" s="15"/>
    </row>
    <row r="47" spans="2:10" s="13" customFormat="1" x14ac:dyDescent="0.35">
      <c r="C47" s="15"/>
      <c r="D47" s="15"/>
    </row>
    <row r="48" spans="2:10" s="13" customFormat="1" x14ac:dyDescent="0.35">
      <c r="C48" s="15"/>
      <c r="D48" s="15"/>
    </row>
    <row r="49" spans="3:4" s="13" customFormat="1" x14ac:dyDescent="0.35">
      <c r="C49" s="15"/>
      <c r="D49" s="15"/>
    </row>
    <row r="50" spans="3:4" s="13" customFormat="1" x14ac:dyDescent="0.35">
      <c r="C50" s="15"/>
      <c r="D50" s="15"/>
    </row>
    <row r="51" spans="3:4" s="13" customFormat="1" x14ac:dyDescent="0.35">
      <c r="C51" s="15"/>
      <c r="D51" s="15"/>
    </row>
  </sheetData>
  <sheetProtection algorithmName="SHA-512" hashValue="tywx/i+Mtutl3CPmCaNkZccAiKEx2RpdJZKiOrMF/0pTpKW8NG8M8bVPCsaWCkOAf3345Yfi8HchGSa0U6ntyQ==" saltValue="IqgtOfW5oo/Mkj/0h9YYCw==" spinCount="100000" sheet="1" objects="1" scenarios="1"/>
  <protectedRanges>
    <protectedRange sqref="C11:C14" name="Range2"/>
    <protectedRange sqref="B11:C14" name="Range3"/>
  </protectedRanges>
  <mergeCells count="17">
    <mergeCell ref="I2:J2"/>
    <mergeCell ref="B28:G28"/>
    <mergeCell ref="B29:G29"/>
    <mergeCell ref="B31:G31"/>
    <mergeCell ref="B32:G32"/>
    <mergeCell ref="B30:G30"/>
    <mergeCell ref="H21:I21"/>
    <mergeCell ref="B21:D21"/>
    <mergeCell ref="I3:J3"/>
    <mergeCell ref="B22:J22"/>
    <mergeCell ref="B26:J26"/>
    <mergeCell ref="B16:J16"/>
    <mergeCell ref="B17:J17"/>
    <mergeCell ref="I5:J7"/>
    <mergeCell ref="B15:D15"/>
    <mergeCell ref="B33:J33"/>
    <mergeCell ref="B27:D27"/>
  </mergeCells>
  <hyperlinks>
    <hyperlink ref="I3" r:id="rId1" display="2023 FEES SCHEDULE" xr:uid="{69201852-95E4-4DE9-A4C2-DFD71217A7CA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D54D1B9-982A-4212-8D16-F7A2B1AA84A3}">
          <x14:formula1>
            <xm:f>'2023 formulas'!$H$2:$H$3</xm:f>
          </x14:formula1>
          <xm:sqref>J29:J32</xm:sqref>
        </x14:dataValidation>
        <x14:dataValidation type="list" allowBlank="1" showInputMessage="1" showErrorMessage="1" xr:uid="{8F5B48C3-258A-4A19-AF8F-4399A0B6C573}">
          <x14:formula1>
            <xm:f>'2023 formulas'!$B$2:$B$13</xm:f>
          </x14:formula1>
          <xm:sqref>C11:C14</xm:sqref>
        </x14:dataValidation>
        <x14:dataValidation type="list" allowBlank="1" showInputMessage="1" showErrorMessage="1" xr:uid="{E0A22139-2FA4-45E1-8FD9-C188DEE0AAE9}">
          <x14:formula1>
            <xm:f>'2023 formulas'!$G$2:$G$6</xm:f>
          </x14:formula1>
          <xm:sqref>D11:D14</xm:sqref>
        </x14:dataValidation>
        <x14:dataValidation type="list" allowBlank="1" showInputMessage="1" showErrorMessage="1" xr:uid="{381FD04F-1D0A-4603-9CC9-3C097A0B4299}">
          <x14:formula1>
            <xm:f>'2023 formulas'!$H$2:$H$4</xm:f>
          </x14:formula1>
          <xm:sqref>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C91B-686A-48D9-8912-3CF237BBA04C}">
  <sheetPr codeName="Sheet2"/>
  <dimension ref="A1:I49"/>
  <sheetViews>
    <sheetView workbookViewId="0">
      <selection activeCell="G25" sqref="G25"/>
    </sheetView>
  </sheetViews>
  <sheetFormatPr defaultRowHeight="14.5" x14ac:dyDescent="0.35"/>
  <cols>
    <col min="1" max="1" width="15.54296875" bestFit="1" customWidth="1"/>
    <col min="2" max="2" width="21" bestFit="1" customWidth="1"/>
    <col min="3" max="3" width="10.81640625" bestFit="1" customWidth="1"/>
    <col min="4" max="4" width="11" bestFit="1" customWidth="1"/>
    <col min="5" max="5" width="13.26953125" bestFit="1" customWidth="1"/>
    <col min="6" max="6" width="15" bestFit="1" customWidth="1"/>
    <col min="7" max="7" width="15" customWidth="1"/>
    <col min="8" max="8" width="15.453125" customWidth="1"/>
  </cols>
  <sheetData>
    <row r="1" spans="2:8" x14ac:dyDescent="0.35">
      <c r="B1" t="s">
        <v>38</v>
      </c>
    </row>
    <row r="2" spans="2:8" x14ac:dyDescent="0.35">
      <c r="B2">
        <v>10</v>
      </c>
      <c r="G2" t="s">
        <v>39</v>
      </c>
      <c r="H2" t="s">
        <v>40</v>
      </c>
    </row>
    <row r="3" spans="2:8" x14ac:dyDescent="0.35">
      <c r="B3">
        <v>9</v>
      </c>
      <c r="G3" t="s">
        <v>13</v>
      </c>
      <c r="H3" t="s">
        <v>41</v>
      </c>
    </row>
    <row r="4" spans="2:8" x14ac:dyDescent="0.35">
      <c r="B4">
        <v>8</v>
      </c>
      <c r="G4" t="s">
        <v>42</v>
      </c>
    </row>
    <row r="5" spans="2:8" x14ac:dyDescent="0.35">
      <c r="B5">
        <v>7</v>
      </c>
      <c r="G5" t="s">
        <v>43</v>
      </c>
    </row>
    <row r="6" spans="2:8" x14ac:dyDescent="0.35">
      <c r="B6">
        <v>6</v>
      </c>
    </row>
    <row r="7" spans="2:8" x14ac:dyDescent="0.35">
      <c r="B7">
        <v>5</v>
      </c>
    </row>
    <row r="8" spans="2:8" x14ac:dyDescent="0.35">
      <c r="B8">
        <v>4</v>
      </c>
    </row>
    <row r="9" spans="2:8" x14ac:dyDescent="0.35">
      <c r="B9">
        <v>3</v>
      </c>
    </row>
    <row r="10" spans="2:8" x14ac:dyDescent="0.35">
      <c r="B10">
        <v>2</v>
      </c>
    </row>
    <row r="11" spans="2:8" x14ac:dyDescent="0.35">
      <c r="B11">
        <v>1</v>
      </c>
    </row>
    <row r="12" spans="2:8" x14ac:dyDescent="0.35">
      <c r="B12" s="6" t="s">
        <v>44</v>
      </c>
    </row>
    <row r="16" spans="2:8" x14ac:dyDescent="0.35">
      <c r="B16" t="s">
        <v>45</v>
      </c>
      <c r="C16">
        <v>500</v>
      </c>
    </row>
    <row r="19" spans="2:9" x14ac:dyDescent="0.35">
      <c r="B19" t="s">
        <v>46</v>
      </c>
      <c r="C19" t="s">
        <v>47</v>
      </c>
      <c r="D19" t="s">
        <v>48</v>
      </c>
      <c r="E19" t="s">
        <v>49</v>
      </c>
      <c r="F19" t="s">
        <v>50</v>
      </c>
      <c r="G19" t="s">
        <v>51</v>
      </c>
      <c r="H19" t="s">
        <v>52</v>
      </c>
      <c r="I19">
        <v>4</v>
      </c>
    </row>
    <row r="20" spans="2:9" x14ac:dyDescent="0.35">
      <c r="B20" t="s">
        <v>44</v>
      </c>
      <c r="C20">
        <v>5220</v>
      </c>
      <c r="D20">
        <v>500</v>
      </c>
      <c r="E20">
        <v>0</v>
      </c>
      <c r="F20">
        <f>SUM(C20:E20)</f>
        <v>5720</v>
      </c>
      <c r="G20">
        <f>F20-((C20+D20)*0.25)</f>
        <v>4290</v>
      </c>
      <c r="H20">
        <f>F20-((C20+D20)*0.5)</f>
        <v>2860</v>
      </c>
      <c r="I20">
        <f>F20-((C20+D20)*0.75)</f>
        <v>1430</v>
      </c>
    </row>
    <row r="21" spans="2:9" x14ac:dyDescent="0.35">
      <c r="B21" t="s">
        <v>53</v>
      </c>
      <c r="C21">
        <v>5220</v>
      </c>
      <c r="D21">
        <v>500</v>
      </c>
      <c r="E21">
        <v>0</v>
      </c>
      <c r="F21">
        <f t="shared" ref="F21:F30" si="0">SUM(C21:E21)</f>
        <v>5720</v>
      </c>
      <c r="G21">
        <f t="shared" ref="G21:G30" si="1">F21-((C21+D21)*0.25)</f>
        <v>4290</v>
      </c>
      <c r="H21">
        <f t="shared" ref="H21:H30" si="2">F21-((C21+D21)*0.5)</f>
        <v>2860</v>
      </c>
      <c r="I21">
        <f t="shared" ref="I21:I30" si="3">F21-((C21+D21)*0.75)</f>
        <v>1430</v>
      </c>
    </row>
    <row r="22" spans="2:9" x14ac:dyDescent="0.35">
      <c r="B22" t="s">
        <v>54</v>
      </c>
      <c r="C22">
        <v>5220</v>
      </c>
      <c r="D22">
        <v>500</v>
      </c>
      <c r="E22">
        <v>0</v>
      </c>
      <c r="F22">
        <f t="shared" si="0"/>
        <v>5720</v>
      </c>
      <c r="G22">
        <f t="shared" si="1"/>
        <v>4290</v>
      </c>
      <c r="H22">
        <f t="shared" si="2"/>
        <v>2860</v>
      </c>
      <c r="I22">
        <f t="shared" si="3"/>
        <v>1430</v>
      </c>
    </row>
    <row r="23" spans="2:9" x14ac:dyDescent="0.35">
      <c r="B23" t="s">
        <v>55</v>
      </c>
      <c r="C23">
        <v>5330</v>
      </c>
      <c r="D23">
        <v>500</v>
      </c>
      <c r="E23">
        <v>185</v>
      </c>
      <c r="F23">
        <f t="shared" si="0"/>
        <v>6015</v>
      </c>
      <c r="G23">
        <f>F23-((C23+D23)*0.25)</f>
        <v>4557.5</v>
      </c>
      <c r="H23">
        <f t="shared" si="2"/>
        <v>3100</v>
      </c>
      <c r="I23">
        <f t="shared" si="3"/>
        <v>1642.5</v>
      </c>
    </row>
    <row r="24" spans="2:9" x14ac:dyDescent="0.35">
      <c r="B24" t="s">
        <v>56</v>
      </c>
      <c r="C24">
        <v>5330</v>
      </c>
      <c r="D24">
        <v>500</v>
      </c>
      <c r="E24">
        <v>185</v>
      </c>
      <c r="F24">
        <f t="shared" si="0"/>
        <v>6015</v>
      </c>
      <c r="G24">
        <f t="shared" si="1"/>
        <v>4557.5</v>
      </c>
      <c r="H24">
        <f t="shared" si="2"/>
        <v>3100</v>
      </c>
      <c r="I24">
        <f t="shared" si="3"/>
        <v>1642.5</v>
      </c>
    </row>
    <row r="25" spans="2:9" x14ac:dyDescent="0.35">
      <c r="B25" t="s">
        <v>57</v>
      </c>
      <c r="C25">
        <v>5330</v>
      </c>
      <c r="D25">
        <v>500</v>
      </c>
      <c r="E25">
        <v>322</v>
      </c>
      <c r="F25">
        <f t="shared" si="0"/>
        <v>6152</v>
      </c>
      <c r="G25">
        <f t="shared" si="1"/>
        <v>4694.5</v>
      </c>
      <c r="H25">
        <f t="shared" si="2"/>
        <v>3237</v>
      </c>
      <c r="I25">
        <f t="shared" si="3"/>
        <v>1779.5</v>
      </c>
    </row>
    <row r="26" spans="2:9" x14ac:dyDescent="0.35">
      <c r="B26" t="s">
        <v>58</v>
      </c>
      <c r="C26">
        <v>5540</v>
      </c>
      <c r="D26">
        <v>500</v>
      </c>
      <c r="E26">
        <v>322</v>
      </c>
      <c r="F26">
        <f t="shared" si="0"/>
        <v>6362</v>
      </c>
      <c r="G26">
        <f t="shared" si="1"/>
        <v>4852</v>
      </c>
      <c r="H26">
        <f t="shared" si="2"/>
        <v>3342</v>
      </c>
      <c r="I26">
        <f t="shared" si="3"/>
        <v>1832</v>
      </c>
    </row>
    <row r="27" spans="2:9" x14ac:dyDescent="0.35">
      <c r="B27" t="s">
        <v>59</v>
      </c>
      <c r="C27">
        <v>5540</v>
      </c>
      <c r="D27">
        <v>500</v>
      </c>
      <c r="E27">
        <v>300</v>
      </c>
      <c r="F27">
        <f t="shared" si="0"/>
        <v>6340</v>
      </c>
      <c r="G27">
        <f t="shared" si="1"/>
        <v>4830</v>
      </c>
      <c r="H27">
        <f t="shared" si="2"/>
        <v>3320</v>
      </c>
      <c r="I27">
        <f t="shared" si="3"/>
        <v>1810</v>
      </c>
    </row>
    <row r="28" spans="2:9" x14ac:dyDescent="0.35">
      <c r="B28" t="s">
        <v>60</v>
      </c>
      <c r="C28">
        <v>5680</v>
      </c>
      <c r="D28">
        <v>500</v>
      </c>
      <c r="E28">
        <v>300</v>
      </c>
      <c r="F28">
        <f t="shared" si="0"/>
        <v>6480</v>
      </c>
      <c r="G28">
        <f t="shared" si="1"/>
        <v>4935</v>
      </c>
      <c r="H28">
        <f t="shared" si="2"/>
        <v>3390</v>
      </c>
      <c r="I28">
        <f t="shared" si="3"/>
        <v>1845</v>
      </c>
    </row>
    <row r="29" spans="2:9" x14ac:dyDescent="0.35">
      <c r="B29" t="s">
        <v>61</v>
      </c>
      <c r="C29">
        <v>5680</v>
      </c>
      <c r="D29">
        <v>500</v>
      </c>
      <c r="E29">
        <v>535</v>
      </c>
      <c r="F29">
        <f t="shared" si="0"/>
        <v>6715</v>
      </c>
      <c r="G29">
        <f t="shared" si="1"/>
        <v>5170</v>
      </c>
      <c r="H29">
        <f t="shared" si="2"/>
        <v>3625</v>
      </c>
      <c r="I29">
        <f t="shared" si="3"/>
        <v>2080</v>
      </c>
    </row>
    <row r="30" spans="2:9" x14ac:dyDescent="0.35">
      <c r="B30" t="s">
        <v>62</v>
      </c>
      <c r="C30">
        <v>5680</v>
      </c>
      <c r="D30">
        <v>500</v>
      </c>
      <c r="E30">
        <v>535</v>
      </c>
      <c r="F30">
        <f t="shared" si="0"/>
        <v>6715</v>
      </c>
      <c r="G30">
        <f t="shared" si="1"/>
        <v>5170</v>
      </c>
      <c r="H30">
        <f t="shared" si="2"/>
        <v>3625</v>
      </c>
      <c r="I30">
        <f t="shared" si="3"/>
        <v>2080</v>
      </c>
    </row>
    <row r="33" spans="1:8" x14ac:dyDescent="0.35">
      <c r="B33" t="s">
        <v>63</v>
      </c>
    </row>
    <row r="35" spans="1:8" x14ac:dyDescent="0.35">
      <c r="B35" t="s">
        <v>64</v>
      </c>
      <c r="C35" t="s">
        <v>65</v>
      </c>
      <c r="D35" t="s">
        <v>66</v>
      </c>
      <c r="E35" t="s">
        <v>67</v>
      </c>
      <c r="F35" t="s">
        <v>68</v>
      </c>
      <c r="G35" t="s">
        <v>69</v>
      </c>
      <c r="H35" t="s">
        <v>70</v>
      </c>
    </row>
    <row r="36" spans="1:8" x14ac:dyDescent="0.35">
      <c r="A36" t="s">
        <v>71</v>
      </c>
      <c r="B36" s="7">
        <f>'School fees calculator'!G27</f>
        <v>44946</v>
      </c>
      <c r="C36" s="1">
        <v>45016</v>
      </c>
    </row>
    <row r="37" spans="1:8" x14ac:dyDescent="0.35">
      <c r="A37" t="s">
        <v>72</v>
      </c>
      <c r="B37" s="1">
        <v>45033</v>
      </c>
      <c r="C37" s="1">
        <v>45100</v>
      </c>
    </row>
    <row r="38" spans="1:8" x14ac:dyDescent="0.35">
      <c r="A38" t="s">
        <v>73</v>
      </c>
      <c r="B38" s="1">
        <v>45125</v>
      </c>
      <c r="C38" s="1">
        <v>45184</v>
      </c>
    </row>
    <row r="39" spans="1:8" x14ac:dyDescent="0.35">
      <c r="A39" t="s">
        <v>74</v>
      </c>
      <c r="B39" s="1">
        <v>45202</v>
      </c>
      <c r="C39" s="8">
        <v>45268</v>
      </c>
      <c r="D39">
        <f>_xlfn.DAYS(C39,B36)</f>
        <v>322</v>
      </c>
      <c r="E39" s="2">
        <f>ROUNDUP((D39/7),0)</f>
        <v>46</v>
      </c>
      <c r="F39" s="2">
        <f>ROUNDUP((D39/14),0)</f>
        <v>23</v>
      </c>
      <c r="G39" s="3">
        <f>D39/31</f>
        <v>10.387096774193548</v>
      </c>
      <c r="H39">
        <f>ROUNDDOWN((D39/74),0)</f>
        <v>4</v>
      </c>
    </row>
    <row r="42" spans="1:8" x14ac:dyDescent="0.35">
      <c r="A42" t="s">
        <v>75</v>
      </c>
      <c r="B42" s="4">
        <v>0.05</v>
      </c>
    </row>
    <row r="44" spans="1:8" x14ac:dyDescent="0.35">
      <c r="A44" t="s">
        <v>76</v>
      </c>
    </row>
    <row r="45" spans="1:8" x14ac:dyDescent="0.35">
      <c r="B45" t="s">
        <v>64</v>
      </c>
      <c r="C45" t="s">
        <v>65</v>
      </c>
      <c r="D45" t="s">
        <v>66</v>
      </c>
      <c r="E45" t="s">
        <v>67</v>
      </c>
      <c r="F45" t="s">
        <v>68</v>
      </c>
      <c r="G45" t="s">
        <v>69</v>
      </c>
      <c r="H45" t="s">
        <v>70</v>
      </c>
    </row>
    <row r="46" spans="1:8" x14ac:dyDescent="0.35">
      <c r="A46" t="s">
        <v>77</v>
      </c>
      <c r="B46" s="5">
        <f>'School fees calculator'!D36</f>
        <v>44947</v>
      </c>
      <c r="C46" s="1"/>
    </row>
    <row r="47" spans="1:8" x14ac:dyDescent="0.35">
      <c r="A47" t="s">
        <v>72</v>
      </c>
      <c r="B47" s="1"/>
      <c r="C47" s="1"/>
    </row>
    <row r="48" spans="1:8" x14ac:dyDescent="0.35">
      <c r="A48" t="s">
        <v>73</v>
      </c>
      <c r="B48" s="1"/>
      <c r="C48" s="1"/>
    </row>
    <row r="49" spans="1:8" x14ac:dyDescent="0.35">
      <c r="A49" t="s">
        <v>74</v>
      </c>
      <c r="B49" s="1"/>
      <c r="C49" s="1">
        <v>45268</v>
      </c>
      <c r="D49">
        <f>_xlfn.DAYS(C49,B46)</f>
        <v>321</v>
      </c>
      <c r="E49" s="2">
        <f>ROUNDUP((D49/7),0)</f>
        <v>46</v>
      </c>
      <c r="F49" s="2">
        <f>ROUNDUP((D49/14),0)</f>
        <v>23</v>
      </c>
      <c r="G49" s="3">
        <f>D49/31</f>
        <v>10.35483870967742</v>
      </c>
      <c r="H49">
        <f>ROUNDDOWN((D49/74),0)</f>
        <v>4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130F7061A5A469B5EEF618B28BC2D" ma:contentTypeVersion="19" ma:contentTypeDescription="Create a new document." ma:contentTypeScope="" ma:versionID="40ad68d59fc58970f5151e687d53edd7">
  <xsd:schema xmlns:xsd="http://www.w3.org/2001/XMLSchema" xmlns:xs="http://www.w3.org/2001/XMLSchema" xmlns:p="http://schemas.microsoft.com/office/2006/metadata/properties" xmlns:ns2="8efd5ebd-2b67-4f0b-882c-d43ec3da8530" xmlns:ns3="e4500eca-42cd-4be0-b5c8-82199ec58916" xmlns:ns4="6a71db10-7d36-4edc-b49d-20dd05bef472" targetNamespace="http://schemas.microsoft.com/office/2006/metadata/properties" ma:root="true" ma:fieldsID="7d6d2352cf9867df744dbffcb0a62fd6" ns2:_="" ns3:_="" ns4:_="">
    <xsd:import namespace="8efd5ebd-2b67-4f0b-882c-d43ec3da8530"/>
    <xsd:import namespace="e4500eca-42cd-4be0-b5c8-82199ec58916"/>
    <xsd:import namespace="6a71db10-7d36-4edc-b49d-20dd05bef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d5ebd-2b67-4f0b-882c-d43ec3da85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00eca-42cd-4be0-b5c8-82199ec58916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d6c35bd3-e09d-4e20-94f0-97d78291d637}" ma:internalName="TaxCatchAll" ma:showField="CatchAllData" ma:web="e4500eca-42cd-4be0-b5c8-82199ec58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1db10-7d36-4edc-b49d-20dd05bef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3014e36-b922-4e0c-bde3-c9aa973ba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l W U 0 V b u 2 6 W C l A A A A 9 g A A A B I A H A B D b 2 5 m a W c v U G F j a 2 F n Z S 5 4 b W w g o h g A K K A U A A A A A A A A A A A A A A A A A A A A A A A A A A A A h Y / B C o J A G I R f R f b u 7 m o Q J r 8 r 0 T U h i K L r s m 6 6 p L / h r u m 7 d e i R e o W M s r p 1 n J l v Y O Z + v U E 6 1 J V 3 0 a 0 1 D S Y k o J x 4 G l W T G y w S 0 r m j H 5 F U w E a q k y y 0 N 8 J o 4 8 G a h J T O n W P G + r 6 n / Y w 2 b c F C z g N 2 y N Z b V e p a + g a t k 6 g 0 + b T y / y 0 i Y P 8 a I 0 I a 8 I g u o j n l w C Y T M o N f I B z 3 P t M f E 1 Z d 5 b p W C 4 3 + c g d s k s D e H 8 Q D U E s D B B Q A A g A I A J V l N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Z T R V K I p H u A 4 A A A A R A A A A E w A c A E Z v c m 1 1 b G F z L 1 N l Y 3 R p b 2 4 x L m 0 g o h g A K K A U A A A A A A A A A A A A A A A A A A A A A A A A A A A A K 0 5 N L s n M z 1 M I h t C G 1 g B Q S w E C L Q A U A A I A C A C V Z T R V u 7 b p Y K U A A A D 2 A A A A E g A A A A A A A A A A A A A A A A A A A A A A Q 2 9 u Z m l n L 1 B h Y 2 t h Z 2 U u e G 1 s U E s B A i 0 A F A A C A A g A l W U 0 V Q / K 6 a u k A A A A 6 Q A A A B M A A A A A A A A A A A A A A A A A 8 Q A A A F t D b 2 5 0 Z W 5 0 X 1 R 5 c G V z X S 5 4 b W x Q S w E C L Q A U A A I A C A C V Z T R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H u v x P y n Q U e J h K v 1 0 a w U U A A A A A A C A A A A A A A Q Z g A A A A E A A C A A A A C 8 Q P p 3 c 7 K H l X L B k O S a K X a 7 X F T C a O r t N 1 s k T / M e f D R f T w A A A A A O g A A A A A I A A C A A A A D N a P Y I C S o L E L z a 3 E i F Q z n i G r g v f H I j e g / n Q S 5 l 4 W V Q 2 1 A A A A B z X Q + n f s F x y 8 s D D C D X W i z C O N R 3 S 2 O 1 E S y f M 0 H e x Y h 2 D B T I s k n R / g 3 N g U c b T H D x I q Z a r B t S w G h / Y x C K H K k k v W j v L D Q J u 9 i W V d o s 7 c x 0 v m 0 I 8 U A A A A B + d w B t d E 5 i l m 7 7 G 1 o w C w 0 K f Q X A e t j O e q l v u D H Z 2 i B Y z h e o + R + 4 g f 2 j G H + S g n l v y 3 V v g B / P I L c n m A Z + L J g 5 z 1 D Z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00eca-42cd-4be0-b5c8-82199ec58916" xsi:nil="true"/>
    <lcf76f155ced4ddcb4097134ff3c332f xmlns="6a71db10-7d36-4edc-b49d-20dd05bef472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C5F2B8-F1EE-44C1-AF6E-04612895D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d5ebd-2b67-4f0b-882c-d43ec3da8530"/>
    <ds:schemaRef ds:uri="e4500eca-42cd-4be0-b5c8-82199ec58916"/>
    <ds:schemaRef ds:uri="6a71db10-7d36-4edc-b49d-20dd05bef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F883A8-1CC9-443D-8AA9-1144E6ADDF0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5666686-0717-442F-A3EA-D2873EAD5D4F}">
  <ds:schemaRefs>
    <ds:schemaRef ds:uri="http://schemas.microsoft.com/office/2006/metadata/properties"/>
    <ds:schemaRef ds:uri="http://schemas.microsoft.com/office/infopath/2007/PartnerControls"/>
    <ds:schemaRef ds:uri="e4500eca-42cd-4be0-b5c8-82199ec58916"/>
    <ds:schemaRef ds:uri="6a71db10-7d36-4edc-b49d-20dd05bef472"/>
  </ds:schemaRefs>
</ds:datastoreItem>
</file>

<file path=customXml/itemProps4.xml><?xml version="1.0" encoding="utf-8"?>
<ds:datastoreItem xmlns:ds="http://schemas.openxmlformats.org/officeDocument/2006/customXml" ds:itemID="{C3680985-B764-44F8-AB95-C30D915F4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School fees calculator</vt:lpstr>
      <vt:lpstr>2023 formulas</vt:lpstr>
      <vt:lpstr>'School fees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Alix Hatfield</dc:creator>
  <cp:keywords/>
  <dc:description/>
  <cp:lastModifiedBy>Beck Walker</cp:lastModifiedBy>
  <cp:revision/>
  <dcterms:created xsi:type="dcterms:W3CDTF">2022-09-20T02:35:38Z</dcterms:created>
  <dcterms:modified xsi:type="dcterms:W3CDTF">2022-10-08T02:10:57Z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0x010100104130F7061A5A469B5EEF618B28BC2D</vt:lpwstr>
  </property>
  <property fmtid="{D5CDD505-2E9C-101B-9397-08002B2CF9AE}" pid="3" name="MediaServiceImageTags">
    <vt:lpwstr/>
  </property>
</Properties>
</file>